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500" windowHeight="6360" activeTab="0"/>
  </bookViews>
  <sheets>
    <sheet name="presupuesto" sheetId="1" r:id="rId1"/>
    <sheet name="RESUMEN" sheetId="2" r:id="rId2"/>
    <sheet name="Hoja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<sst xmlns="http://schemas.openxmlformats.org/spreadsheetml/2006/main" count="148" uniqueCount="109">
  <si>
    <t>CENTRO DE COSTOS</t>
  </si>
  <si>
    <t>MUNICIPIO</t>
  </si>
  <si>
    <t>DESCRIPCION DEL SERVICIO</t>
  </si>
  <si>
    <t>SEDE</t>
  </si>
  <si>
    <t>AREA APROXIMADA EN M2</t>
  </si>
  <si>
    <t xml:space="preserve">NUMERO MAX DE PERSONAS EN EL SERVICIO </t>
  </si>
  <si>
    <t>VALOR ANTES DE IVA</t>
  </si>
  <si>
    <t>AIU</t>
  </si>
  <si>
    <t>IVA</t>
  </si>
  <si>
    <t>VALOR TOTAL</t>
  </si>
  <si>
    <t>Servicios generales de aseo, desinfección  con insumos, herramientas y procedimientos de calidad, de lunes a sábado durante todo el mes.</t>
  </si>
  <si>
    <t>RIOHACHA</t>
  </si>
  <si>
    <t>Mantenimiento y Servicios Generales</t>
  </si>
  <si>
    <t>Servicios generales de aseo, desinfección y cafetería con insumos, herramientas y procedimientos de calidad, de lunes a viernes durante todo el mes.</t>
  </si>
  <si>
    <t>Archivo Calle 13 - Riohacha</t>
  </si>
  <si>
    <t>421.3</t>
  </si>
  <si>
    <t>Archivo y Correspondencia</t>
  </si>
  <si>
    <t>SUBTOTAL  MES</t>
  </si>
  <si>
    <t>SUBTOTAL  AÑO</t>
  </si>
  <si>
    <t>ITEM 2</t>
  </si>
  <si>
    <t>Anas Mai</t>
  </si>
  <si>
    <t>Administracion Anas Mai</t>
  </si>
  <si>
    <t>SUBTOTAL MES</t>
  </si>
  <si>
    <t>ITEM 3</t>
  </si>
  <si>
    <t>Servicios generales de aseo, desinfección y cafetería con insumos, herramientas y procedimientos de calidad, de lunes a viernes,  durante todo el mes por medio tiempo.</t>
  </si>
  <si>
    <t>Punto de Promocion y Venta de Servicios Uribia</t>
  </si>
  <si>
    <t>URIBIA</t>
  </si>
  <si>
    <t>UIS Uribia</t>
  </si>
  <si>
    <t>Servicios generales de aseo, desinfección y cafetería con insumos, herramientas y procedimientos de calidad, de lunes a sábado,  durante todo el mes por tiempo completo.</t>
  </si>
  <si>
    <t>UIS Maicao</t>
  </si>
  <si>
    <t>MAICAO</t>
  </si>
  <si>
    <t>Punto de Promocion y Venta de Servicios Barrancas</t>
  </si>
  <si>
    <t>BARRANCAS</t>
  </si>
  <si>
    <t>453.2</t>
  </si>
  <si>
    <t>UIS Barrancas</t>
  </si>
  <si>
    <t>Servicios generales de aseo, desinfección y cafetería con insumos, herramientas y procedimientos de calidad, de lunes a sabado,  durante todo el mes por medio tiempo.</t>
  </si>
  <si>
    <t>UIS Fonseca</t>
  </si>
  <si>
    <t>FONSECA</t>
  </si>
  <si>
    <t>553.5</t>
  </si>
  <si>
    <t>UIS San Juan</t>
  </si>
  <si>
    <t>SAN JUAN</t>
  </si>
  <si>
    <t>Punto de Promocion y Venta de Servicios Villanueva</t>
  </si>
  <si>
    <t>VILLANUEVA</t>
  </si>
  <si>
    <t>185.8</t>
  </si>
  <si>
    <t>UIS Villanueva</t>
  </si>
  <si>
    <t>ITEM 4</t>
  </si>
  <si>
    <t>Servicios generales de aseo, desinfección y cafetería con insumos, herramientas y procedimientos de calidad, de lunes a sabado,  durante todo el mes.</t>
  </si>
  <si>
    <t>Local Centro Comercial Olimpia</t>
  </si>
  <si>
    <t>182.5</t>
  </si>
  <si>
    <t>Colegio Comfamiliar No 1</t>
  </si>
  <si>
    <t>HATONUEVO</t>
  </si>
  <si>
    <t>Servicios generales de aseo y desinfección  con insumos, herramientas y procedimientos de calidad, de lunes a sabado,  durante todo el mes.</t>
  </si>
  <si>
    <t>Centro de Formación para el Trabajo y el Desarrollo Humano- Riohacha calle 15</t>
  </si>
  <si>
    <t xml:space="preserve">746-750 </t>
  </si>
  <si>
    <t>Biblioteca</t>
  </si>
  <si>
    <t>ITEM 5</t>
  </si>
  <si>
    <t xml:space="preserve">
Calle 14A # 10-110/114</t>
  </si>
  <si>
    <t>SUBTOTAL AÑO</t>
  </si>
  <si>
    <t>ITEM 6</t>
  </si>
  <si>
    <t>LUGAR</t>
  </si>
  <si>
    <t>AREA EN M2</t>
  </si>
  <si>
    <t>Servicios generales de aseo, desinfección y cafetería con insumos, herramientas y procedimientos de calidad, de lunes a sábado,  durante todo el mes.</t>
  </si>
  <si>
    <t>IPS Sede principal - Riohacha</t>
  </si>
  <si>
    <t>1751-1760</t>
  </si>
  <si>
    <t>Administracion IPS</t>
  </si>
  <si>
    <t>Servicios generales de aseo, desinfección y cafetería con insumos, herramientas y procedimientos de calidad, de lunes a domingo,  durante todo el mes.</t>
  </si>
  <si>
    <t>Unidad de Salud Mental - Riohacha</t>
  </si>
  <si>
    <t>647.8</t>
  </si>
  <si>
    <t>IPS Eurare</t>
  </si>
  <si>
    <t xml:space="preserve">TOTAL  </t>
  </si>
  <si>
    <t>bodegas via a Maicao (centro de acopio)</t>
  </si>
  <si>
    <t>ITEM</t>
  </si>
  <si>
    <t>RESUMEN  (DISTRIBUCION)</t>
  </si>
  <si>
    <t>Mantenimiento y servicios generales</t>
  </si>
  <si>
    <t>A rchivo y correspondencia</t>
  </si>
  <si>
    <t>Uises</t>
  </si>
  <si>
    <t>Colegio Hatonuevo</t>
  </si>
  <si>
    <t>Gestion de empleo</t>
  </si>
  <si>
    <t>Unidad de salud mental</t>
  </si>
  <si>
    <t>Total distribucion</t>
  </si>
  <si>
    <t xml:space="preserve">PRESUPUESTO SERVICIOS GENERALES COMFAGUAJIRA 2024 </t>
  </si>
  <si>
    <t>1°, 3 y 5 piso de la Sede Administrativa – Riohacha</t>
  </si>
  <si>
    <t>Servicios generales de aseo, desinfección  con insumos, herramientas y procedimientos de calidad, de lunes a viernes medio tiempo, durante todo el mes.</t>
  </si>
  <si>
    <t>Servicios generales de aseo, desinfección y cafetería con insumos, herramientas y procedimientos de calidad, de lunes a viernes,  durante todo el mes.</t>
  </si>
  <si>
    <t>Servicios generales de aseo, desinfección y cafetería con insumos, herramientas y procedimientos de calidad, de lunes a sabado,  durante todo el mes.  Incluye servicio de aseo y desinfeccion dos (2) veces al mes a la Unidad Movil de la agencia</t>
  </si>
  <si>
    <t>Servicios generales de aseo, desinfección y cafetería con insumos, herramientas y procedimientos de calidad, de lunes a sábado,  medio tiempo durante todo el mes.</t>
  </si>
  <si>
    <t xml:space="preserve">Educacion </t>
  </si>
  <si>
    <t>IPS</t>
  </si>
  <si>
    <t>ADMINISTRACION</t>
  </si>
  <si>
    <t>ANAS MAI</t>
  </si>
  <si>
    <t>UIS</t>
  </si>
  <si>
    <t>EDUCACION</t>
  </si>
  <si>
    <t>COLEGIO</t>
  </si>
  <si>
    <t>FOSFEC</t>
  </si>
  <si>
    <t>Fosfec</t>
  </si>
  <si>
    <t xml:space="preserve">Celogio </t>
  </si>
  <si>
    <t xml:space="preserve">IPS </t>
  </si>
  <si>
    <t>VALOR MES</t>
  </si>
  <si>
    <t>CRN Manaure</t>
  </si>
  <si>
    <t>CRN manaure</t>
  </si>
  <si>
    <t>MANAURE</t>
  </si>
  <si>
    <t>SOLO 2 MESES</t>
  </si>
  <si>
    <t>TOTAL  10 meses y 14 dias de febrero</t>
  </si>
  <si>
    <t>2 MESES y 14 dias</t>
  </si>
  <si>
    <t>VALOR 10 meses</t>
  </si>
  <si>
    <t>valor 14 dias</t>
  </si>
  <si>
    <t>total</t>
  </si>
  <si>
    <t>Servicios generales de aseo, desinfección, cafeteria herramientas y procedimientos de calidad, de lunes a sabado,  durante todo el mes.</t>
  </si>
  <si>
    <t>Servicios generales de aseo y desinfección  con insumos, herramientas y procedimientos de calidad, de lunes a domingo,  durante todo el mes. Aplica según las distribuciones de las necesidades del servicio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</si>
</sst>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_(&quot;$&quot;\ * #,##0_);_(&quot;$&quot;\ * \(#,##0\);_(&quot;$&quot;\ * &quot;-&quot;??_);_(@_)"/>
    <numFmt numFmtId="169" formatCode="_-&quot;$&quot;\ * #,##0_-;\-&quot;$&quot;\ * #,##0_-;_-&quot;$&quot;\ * &quot;-&quot;??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7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center" vertical="center" wrapText="1"/>
    </xf>
    <xf numFmtId="168" fontId="41" fillId="33" borderId="13" xfId="52" applyNumberFormat="1" applyFont="1" applyFill="1" applyBorder="1" applyAlignment="1">
      <alignment vertical="center"/>
    </xf>
    <xf numFmtId="168" fontId="41" fillId="33" borderId="13" xfId="0" applyNumberFormat="1" applyFont="1" applyFill="1" applyBorder="1" applyAlignment="1">
      <alignment vertical="center"/>
    </xf>
    <xf numFmtId="168" fontId="41" fillId="33" borderId="14" xfId="0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68" fontId="43" fillId="33" borderId="10" xfId="0" applyNumberFormat="1" applyFont="1" applyFill="1" applyBorder="1" applyAlignment="1">
      <alignment/>
    </xf>
    <xf numFmtId="168" fontId="43" fillId="33" borderId="18" xfId="0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168" fontId="43" fillId="33" borderId="20" xfId="0" applyNumberFormat="1" applyFont="1" applyFill="1" applyBorder="1" applyAlignment="1">
      <alignment/>
    </xf>
    <xf numFmtId="168" fontId="43" fillId="33" borderId="21" xfId="0" applyNumberFormat="1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3" fillId="33" borderId="16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justify" vertical="center" wrapText="1"/>
    </xf>
    <xf numFmtId="168" fontId="41" fillId="33" borderId="16" xfId="52" applyNumberFormat="1" applyFont="1" applyFill="1" applyBorder="1" applyAlignment="1">
      <alignment vertical="center"/>
    </xf>
    <xf numFmtId="0" fontId="42" fillId="33" borderId="24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left" vertical="center" wrapText="1"/>
    </xf>
    <xf numFmtId="168" fontId="41" fillId="33" borderId="25" xfId="0" applyNumberFormat="1" applyFont="1" applyFill="1" applyBorder="1" applyAlignment="1">
      <alignment vertical="center"/>
    </xf>
    <xf numFmtId="0" fontId="42" fillId="33" borderId="26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168" fontId="41" fillId="33" borderId="10" xfId="0" applyNumberFormat="1" applyFont="1" applyFill="1" applyBorder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justify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1" fillId="33" borderId="10" xfId="52" applyNumberFormat="1" applyFont="1" applyFill="1" applyBorder="1" applyAlignment="1">
      <alignment vertical="center"/>
    </xf>
    <xf numFmtId="0" fontId="43" fillId="33" borderId="27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168" fontId="43" fillId="33" borderId="28" xfId="0" applyNumberFormat="1" applyFont="1" applyFill="1" applyBorder="1" applyAlignment="1">
      <alignment/>
    </xf>
    <xf numFmtId="168" fontId="43" fillId="33" borderId="29" xfId="0" applyNumberFormat="1" applyFont="1" applyFill="1" applyBorder="1" applyAlignment="1">
      <alignment/>
    </xf>
    <xf numFmtId="0" fontId="41" fillId="33" borderId="30" xfId="0" applyFont="1" applyFill="1" applyBorder="1" applyAlignment="1">
      <alignment/>
    </xf>
    <xf numFmtId="168" fontId="43" fillId="33" borderId="16" xfId="0" applyNumberFormat="1" applyFont="1" applyFill="1" applyBorder="1" applyAlignment="1">
      <alignment/>
    </xf>
    <xf numFmtId="168" fontId="41" fillId="33" borderId="10" xfId="0" applyNumberFormat="1" applyFont="1" applyFill="1" applyBorder="1" applyAlignment="1">
      <alignment vertical="center"/>
    </xf>
    <xf numFmtId="0" fontId="40" fillId="0" borderId="3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168" fontId="41" fillId="0" borderId="13" xfId="52" applyNumberFormat="1" applyFont="1" applyFill="1" applyBorder="1" applyAlignment="1">
      <alignment vertical="center"/>
    </xf>
    <xf numFmtId="168" fontId="41" fillId="0" borderId="13" xfId="0" applyNumberFormat="1" applyFont="1" applyBorder="1" applyAlignment="1">
      <alignment vertical="center"/>
    </xf>
    <xf numFmtId="168" fontId="41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1" fillId="0" borderId="31" xfId="0" applyFont="1" applyBorder="1" applyAlignment="1">
      <alignment/>
    </xf>
    <xf numFmtId="0" fontId="42" fillId="0" borderId="2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1" fillId="33" borderId="31" xfId="0" applyFont="1" applyFill="1" applyBorder="1" applyAlignment="1">
      <alignment/>
    </xf>
    <xf numFmtId="0" fontId="41" fillId="33" borderId="31" xfId="0" applyFont="1" applyFill="1" applyBorder="1" applyAlignment="1">
      <alignment horizontal="center"/>
    </xf>
    <xf numFmtId="0" fontId="41" fillId="33" borderId="33" xfId="0" applyFont="1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1" fillId="0" borderId="28" xfId="0" applyFont="1" applyBorder="1" applyAlignment="1">
      <alignment/>
    </xf>
    <xf numFmtId="168" fontId="43" fillId="34" borderId="18" xfId="0" applyNumberFormat="1" applyFont="1" applyFill="1" applyBorder="1" applyAlignment="1">
      <alignment/>
    </xf>
    <xf numFmtId="168" fontId="41" fillId="34" borderId="18" xfId="0" applyNumberFormat="1" applyFont="1" applyFill="1" applyBorder="1" applyAlignment="1">
      <alignment/>
    </xf>
    <xf numFmtId="168" fontId="43" fillId="34" borderId="16" xfId="0" applyNumberFormat="1" applyFont="1" applyFill="1" applyBorder="1" applyAlignment="1">
      <alignment/>
    </xf>
    <xf numFmtId="0" fontId="41" fillId="33" borderId="34" xfId="0" applyFont="1" applyFill="1" applyBorder="1" applyAlignment="1">
      <alignment/>
    </xf>
    <xf numFmtId="0" fontId="41" fillId="35" borderId="32" xfId="0" applyFont="1" applyFill="1" applyBorder="1" applyAlignment="1">
      <alignment/>
    </xf>
    <xf numFmtId="0" fontId="41" fillId="35" borderId="13" xfId="0" applyFont="1" applyFill="1" applyBorder="1" applyAlignment="1">
      <alignment/>
    </xf>
    <xf numFmtId="168" fontId="41" fillId="35" borderId="13" xfId="0" applyNumberFormat="1" applyFont="1" applyFill="1" applyBorder="1" applyAlignment="1">
      <alignment/>
    </xf>
    <xf numFmtId="168" fontId="43" fillId="35" borderId="13" xfId="0" applyNumberFormat="1" applyFont="1" applyFill="1" applyBorder="1" applyAlignment="1">
      <alignment/>
    </xf>
    <xf numFmtId="0" fontId="41" fillId="35" borderId="35" xfId="0" applyFont="1" applyFill="1" applyBorder="1" applyAlignment="1">
      <alignment/>
    </xf>
    <xf numFmtId="0" fontId="40" fillId="34" borderId="3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40" fillId="34" borderId="31" xfId="0" applyFont="1" applyFill="1" applyBorder="1" applyAlignment="1">
      <alignment horizontal="center"/>
    </xf>
    <xf numFmtId="169" fontId="0" fillId="34" borderId="10" xfId="52" applyNumberFormat="1" applyFont="1" applyFill="1" applyBorder="1" applyAlignment="1">
      <alignment/>
    </xf>
    <xf numFmtId="169" fontId="0" fillId="34" borderId="18" xfId="52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40" fillId="34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40" fillId="35" borderId="36" xfId="0" applyFont="1" applyFill="1" applyBorder="1" applyAlignment="1">
      <alignment/>
    </xf>
    <xf numFmtId="0" fontId="40" fillId="35" borderId="37" xfId="0" applyFont="1" applyFill="1" applyBorder="1" applyAlignment="1">
      <alignment/>
    </xf>
    <xf numFmtId="169" fontId="40" fillId="35" borderId="36" xfId="0" applyNumberFormat="1" applyFont="1" applyFill="1" applyBorder="1" applyAlignment="1">
      <alignment/>
    </xf>
    <xf numFmtId="0" fontId="40" fillId="34" borderId="38" xfId="0" applyFont="1" applyFill="1" applyBorder="1" applyAlignment="1">
      <alignment horizontal="center"/>
    </xf>
    <xf numFmtId="0" fontId="40" fillId="34" borderId="39" xfId="0" applyFont="1" applyFill="1" applyBorder="1" applyAlignment="1">
      <alignment horizontal="center"/>
    </xf>
    <xf numFmtId="169" fontId="0" fillId="34" borderId="15" xfId="52" applyNumberFormat="1" applyFont="1" applyFill="1" applyBorder="1" applyAlignment="1">
      <alignment/>
    </xf>
    <xf numFmtId="169" fontId="0" fillId="34" borderId="19" xfId="52" applyNumberFormat="1" applyFont="1" applyFill="1" applyBorder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44" fontId="41" fillId="0" borderId="0" xfId="52" applyFont="1" applyAlignment="1">
      <alignment/>
    </xf>
    <xf numFmtId="44" fontId="41" fillId="0" borderId="0" xfId="0" applyNumberFormat="1" applyFont="1" applyAlignment="1">
      <alignment/>
    </xf>
    <xf numFmtId="169" fontId="0" fillId="34" borderId="29" xfId="52" applyNumberFormat="1" applyFont="1" applyFill="1" applyBorder="1" applyAlignment="1">
      <alignment/>
    </xf>
    <xf numFmtId="0" fontId="40" fillId="35" borderId="27" xfId="0" applyFont="1" applyFill="1" applyBorder="1" applyAlignment="1">
      <alignment horizontal="center"/>
    </xf>
    <xf numFmtId="169" fontId="0" fillId="35" borderId="10" xfId="52" applyNumberFormat="1" applyFont="1" applyFill="1" applyBorder="1" applyAlignment="1">
      <alignment/>
    </xf>
    <xf numFmtId="169" fontId="0" fillId="35" borderId="18" xfId="52" applyNumberFormat="1" applyFont="1" applyFill="1" applyBorder="1" applyAlignment="1">
      <alignment/>
    </xf>
    <xf numFmtId="169" fontId="0" fillId="35" borderId="19" xfId="52" applyNumberFormat="1" applyFont="1" applyFill="1" applyBorder="1" applyAlignment="1">
      <alignment/>
    </xf>
    <xf numFmtId="169" fontId="0" fillId="35" borderId="28" xfId="52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31" xfId="0" applyFont="1" applyFill="1" applyBorder="1" applyAlignment="1">
      <alignment horizontal="left"/>
    </xf>
    <xf numFmtId="0" fontId="40" fillId="35" borderId="15" xfId="0" applyFont="1" applyFill="1" applyBorder="1" applyAlignment="1">
      <alignment horizontal="center"/>
    </xf>
    <xf numFmtId="0" fontId="41" fillId="34" borderId="41" xfId="0" applyFont="1" applyFill="1" applyBorder="1" applyAlignment="1">
      <alignment/>
    </xf>
    <xf numFmtId="0" fontId="41" fillId="34" borderId="20" xfId="0" applyFont="1" applyFill="1" applyBorder="1" applyAlignment="1">
      <alignment/>
    </xf>
    <xf numFmtId="168" fontId="41" fillId="34" borderId="20" xfId="0" applyNumberFormat="1" applyFont="1" applyFill="1" applyBorder="1" applyAlignment="1">
      <alignment/>
    </xf>
    <xf numFmtId="168" fontId="43" fillId="34" borderId="20" xfId="0" applyNumberFormat="1" applyFont="1" applyFill="1" applyBorder="1" applyAlignment="1">
      <alignment/>
    </xf>
    <xf numFmtId="169" fontId="43" fillId="34" borderId="42" xfId="52" applyNumberFormat="1" applyFont="1" applyFill="1" applyBorder="1" applyAlignment="1">
      <alignment/>
    </xf>
    <xf numFmtId="0" fontId="46" fillId="35" borderId="43" xfId="0" applyFont="1" applyFill="1" applyBorder="1" applyAlignment="1">
      <alignment horizontal="center"/>
    </xf>
    <xf numFmtId="0" fontId="46" fillId="35" borderId="37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left"/>
    </xf>
    <xf numFmtId="0" fontId="43" fillId="35" borderId="13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4" borderId="20" xfId="0" applyFont="1" applyFill="1" applyBorder="1" applyAlignment="1">
      <alignment horizontal="left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 wrapText="1"/>
    </xf>
    <xf numFmtId="0" fontId="40" fillId="35" borderId="47" xfId="0" applyFont="1" applyFill="1" applyBorder="1" applyAlignment="1">
      <alignment horizontal="center"/>
    </xf>
    <xf numFmtId="0" fontId="40" fillId="35" borderId="48" xfId="0" applyFont="1" applyFill="1" applyBorder="1" applyAlignment="1">
      <alignment horizontal="center"/>
    </xf>
    <xf numFmtId="0" fontId="40" fillId="35" borderId="49" xfId="0" applyFont="1" applyFill="1" applyBorder="1" applyAlignment="1">
      <alignment horizontal="center"/>
    </xf>
    <xf numFmtId="0" fontId="40" fillId="35" borderId="50" xfId="0" applyFont="1" applyFill="1" applyBorder="1" applyAlignment="1">
      <alignment horizontal="center"/>
    </xf>
    <xf numFmtId="0" fontId="40" fillId="35" borderId="51" xfId="0" applyFont="1" applyFill="1" applyBorder="1" applyAlignment="1">
      <alignment horizontal="center"/>
    </xf>
    <xf numFmtId="0" fontId="40" fillId="34" borderId="28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52" xfId="0" applyFont="1" applyFill="1" applyBorder="1" applyAlignment="1">
      <alignment horizontal="center"/>
    </xf>
    <xf numFmtId="0" fontId="40" fillId="34" borderId="53" xfId="0" applyFont="1" applyFill="1" applyBorder="1" applyAlignment="1">
      <alignment horizontal="center"/>
    </xf>
    <xf numFmtId="0" fontId="40" fillId="34" borderId="54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L-JEFEINFRAES\Desktop\CONTRATACION%202024\ASEO%20Y%20CAFETERIA%20%202024\Febrero%20a%20Diciembre%20de%20%202024\presupuesto%202024%2016%20al%2029%20de%20febrero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SUMEN"/>
      <sheetName val="Hoja4"/>
    </sheetNames>
    <sheetDataSet>
      <sheetData sheetId="0">
        <row r="5">
          <cell r="J5">
            <v>4590764.64</v>
          </cell>
        </row>
        <row r="6">
          <cell r="J6">
            <v>1530254.88</v>
          </cell>
        </row>
        <row r="10">
          <cell r="J10">
            <v>9181529.28</v>
          </cell>
        </row>
        <row r="20">
          <cell r="J20">
            <v>4590764.64</v>
          </cell>
        </row>
        <row r="23">
          <cell r="J23">
            <v>3060509.76</v>
          </cell>
        </row>
        <row r="24">
          <cell r="J24">
            <v>9181529.28</v>
          </cell>
        </row>
        <row r="28">
          <cell r="J28">
            <v>1530254.88</v>
          </cell>
        </row>
        <row r="33">
          <cell r="J33">
            <v>7651274.4</v>
          </cell>
        </row>
        <row r="34">
          <cell r="J34">
            <v>4590764.64</v>
          </cell>
        </row>
        <row r="35">
          <cell r="J35">
            <v>2856475.776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="80" zoomScaleNormal="80" zoomScalePageLayoutView="0" workbookViewId="0" topLeftCell="A1">
      <selection activeCell="D5" sqref="D5"/>
    </sheetView>
  </sheetViews>
  <sheetFormatPr defaultColWidth="11.421875" defaultRowHeight="15"/>
  <cols>
    <col min="1" max="1" width="7.421875" style="1" customWidth="1"/>
    <col min="2" max="2" width="29.421875" style="1" customWidth="1"/>
    <col min="3" max="3" width="14.421875" style="1" customWidth="1"/>
    <col min="4" max="4" width="13.00390625" style="1" customWidth="1"/>
    <col min="5" max="5" width="12.57421875" style="1" customWidth="1"/>
    <col min="6" max="6" width="16.28125" style="1" customWidth="1"/>
    <col min="7" max="8" width="16.57421875" style="1" customWidth="1"/>
    <col min="9" max="9" width="13.7109375" style="1" customWidth="1"/>
    <col min="10" max="11" width="21.7109375" style="1" customWidth="1"/>
    <col min="12" max="16384" width="11.421875" style="1" customWidth="1"/>
  </cols>
  <sheetData>
    <row r="1" ht="12.75" thickBot="1"/>
    <row r="2" spans="1:11" ht="19.5" thickBot="1">
      <c r="A2" s="132" t="s">
        <v>80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ht="12.75" thickBot="1"/>
    <row r="4" spans="1:11" ht="51" customHeight="1" thickBot="1">
      <c r="A4" s="67" t="s">
        <v>71</v>
      </c>
      <c r="B4" s="68" t="s">
        <v>2</v>
      </c>
      <c r="C4" s="68" t="s">
        <v>3</v>
      </c>
      <c r="D4" s="68" t="s">
        <v>1</v>
      </c>
      <c r="E4" s="68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8" t="s">
        <v>9</v>
      </c>
      <c r="K4" s="69" t="s">
        <v>0</v>
      </c>
    </row>
    <row r="5" spans="1:11" ht="93" customHeight="1" thickBot="1">
      <c r="A5" s="70">
        <v>1</v>
      </c>
      <c r="B5" s="56" t="s">
        <v>10</v>
      </c>
      <c r="C5" s="57" t="s">
        <v>81</v>
      </c>
      <c r="D5" s="57" t="s">
        <v>11</v>
      </c>
      <c r="E5" s="58">
        <v>940</v>
      </c>
      <c r="F5" s="58">
        <v>3</v>
      </c>
      <c r="G5" s="59">
        <f>2241303*3+672391</f>
        <v>7396300</v>
      </c>
      <c r="H5" s="59">
        <f>G5*10%</f>
        <v>739630</v>
      </c>
      <c r="I5" s="60">
        <f>H5*19%</f>
        <v>140529.7</v>
      </c>
      <c r="J5" s="61">
        <f>G5+H5+I5</f>
        <v>8276459.7</v>
      </c>
      <c r="K5" s="71" t="s">
        <v>12</v>
      </c>
    </row>
    <row r="6" spans="1:11" ht="77.25" customHeight="1" thickBot="1">
      <c r="A6" s="70">
        <v>2</v>
      </c>
      <c r="B6" s="56" t="s">
        <v>82</v>
      </c>
      <c r="C6" s="57" t="s">
        <v>70</v>
      </c>
      <c r="D6" s="57" t="s">
        <v>11</v>
      </c>
      <c r="E6" s="58"/>
      <c r="F6" s="58">
        <v>1</v>
      </c>
      <c r="G6" s="59">
        <f>2241303/2+123272</f>
        <v>1243923.5</v>
      </c>
      <c r="H6" s="59">
        <f>G6*10%</f>
        <v>124392.35</v>
      </c>
      <c r="I6" s="60">
        <f>H6*19%</f>
        <v>23634.5465</v>
      </c>
      <c r="J6" s="61">
        <f>G6+H6+I6</f>
        <v>1391950.3965</v>
      </c>
      <c r="K6" s="71" t="s">
        <v>12</v>
      </c>
    </row>
    <row r="7" spans="1:11" ht="93.75" customHeight="1">
      <c r="A7" s="70">
        <v>3</v>
      </c>
      <c r="B7" s="62" t="s">
        <v>13</v>
      </c>
      <c r="C7" s="63" t="s">
        <v>14</v>
      </c>
      <c r="D7" s="64" t="s">
        <v>11</v>
      </c>
      <c r="E7" s="65" t="s">
        <v>15</v>
      </c>
      <c r="F7" s="65">
        <v>1</v>
      </c>
      <c r="G7" s="59">
        <f>2241303+224130</f>
        <v>2465433</v>
      </c>
      <c r="H7" s="59">
        <f>G7*10%</f>
        <v>246543.30000000002</v>
      </c>
      <c r="I7" s="60">
        <f>H7*19%</f>
        <v>46843.227000000006</v>
      </c>
      <c r="J7" s="61">
        <f>G7+H7+I7</f>
        <v>2758819.527</v>
      </c>
      <c r="K7" s="72" t="s">
        <v>16</v>
      </c>
    </row>
    <row r="8" spans="1:11" ht="12">
      <c r="A8" s="73"/>
      <c r="B8" s="14" t="s">
        <v>17</v>
      </c>
      <c r="C8" s="15"/>
      <c r="D8" s="15"/>
      <c r="E8" s="15"/>
      <c r="F8" s="77">
        <f>SUM(F5:F7)</f>
        <v>5</v>
      </c>
      <c r="G8" s="16">
        <f>SUM(G5:G7)</f>
        <v>11105656.5</v>
      </c>
      <c r="H8" s="16">
        <f>SUM(H5:H7)</f>
        <v>1110565.65</v>
      </c>
      <c r="I8" s="16">
        <f>SUM(I5:I7)</f>
        <v>211007.47350000002</v>
      </c>
      <c r="J8" s="85">
        <f>SUM(J5:J7)</f>
        <v>12427229.6235</v>
      </c>
      <c r="K8" s="18"/>
    </row>
    <row r="9" spans="1:11" ht="12.75" thickBot="1">
      <c r="A9" s="73"/>
      <c r="B9" s="19" t="s">
        <v>18</v>
      </c>
      <c r="C9" s="20"/>
      <c r="D9" s="20"/>
      <c r="E9" s="20"/>
      <c r="F9" s="78"/>
      <c r="G9" s="21">
        <f>G8*1</f>
        <v>11105656.5</v>
      </c>
      <c r="H9" s="21">
        <f>H8*1</f>
        <v>1110565.65</v>
      </c>
      <c r="I9" s="21">
        <f>I8*1</f>
        <v>211007.47350000002</v>
      </c>
      <c r="J9" s="22">
        <f>J8*1</f>
        <v>12427229.6235</v>
      </c>
      <c r="K9" s="23"/>
    </row>
    <row r="10" spans="1:11" ht="12.75" thickBot="1">
      <c r="A10" s="73"/>
      <c r="B10" s="142" t="s">
        <v>19</v>
      </c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104.25" customHeight="1">
      <c r="A11" s="70">
        <v>4</v>
      </c>
      <c r="B11" s="56" t="s">
        <v>108</v>
      </c>
      <c r="C11" s="57" t="s">
        <v>20</v>
      </c>
      <c r="D11" s="64" t="s">
        <v>11</v>
      </c>
      <c r="E11" s="65">
        <v>2330</v>
      </c>
      <c r="F11" s="66">
        <v>6</v>
      </c>
      <c r="G11" s="59">
        <f>2465433*6+1232717</f>
        <v>16025315</v>
      </c>
      <c r="H11" s="60">
        <f>G11*10%</f>
        <v>1602531.5</v>
      </c>
      <c r="I11" s="60">
        <f>H11*19%</f>
        <v>304480.985</v>
      </c>
      <c r="J11" s="61">
        <f>G11+H11+I11</f>
        <v>17932327.485</v>
      </c>
      <c r="K11" s="71" t="s">
        <v>21</v>
      </c>
    </row>
    <row r="12" spans="1:11" ht="14.25" customHeight="1">
      <c r="A12" s="73"/>
      <c r="B12" s="14" t="s">
        <v>22</v>
      </c>
      <c r="C12" s="15"/>
      <c r="D12" s="15"/>
      <c r="E12" s="15"/>
      <c r="F12" s="54">
        <f>SUM(F11:F11)</f>
        <v>6</v>
      </c>
      <c r="G12" s="16">
        <f>SUM(G11:G11)</f>
        <v>16025315</v>
      </c>
      <c r="H12" s="16">
        <f>SUM(H11:H11)</f>
        <v>1602531.5</v>
      </c>
      <c r="I12" s="16">
        <f>SUM(I11:I11)</f>
        <v>304480.985</v>
      </c>
      <c r="J12" s="85">
        <f>SUM(J11)</f>
        <v>17932327.485</v>
      </c>
      <c r="K12" s="18"/>
    </row>
    <row r="13" spans="1:11" ht="13.5" customHeight="1" thickBot="1">
      <c r="A13" s="73"/>
      <c r="B13" s="19" t="s">
        <v>18</v>
      </c>
      <c r="C13" s="20"/>
      <c r="D13" s="20"/>
      <c r="E13" s="20"/>
      <c r="F13" s="78"/>
      <c r="G13" s="21">
        <f>G12*1</f>
        <v>16025315</v>
      </c>
      <c r="H13" s="21">
        <f>H12*1</f>
        <v>1602531.5</v>
      </c>
      <c r="I13" s="21">
        <f>I12*1</f>
        <v>304480.985</v>
      </c>
      <c r="J13" s="22">
        <f>J12*1</f>
        <v>17932327.485</v>
      </c>
      <c r="K13" s="23"/>
    </row>
    <row r="14" spans="1:11" ht="12.75" thickBot="1">
      <c r="A14" s="73"/>
      <c r="B14" s="142" t="s">
        <v>23</v>
      </c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90.75" customHeight="1" thickBot="1">
      <c r="A15" s="73">
        <v>5</v>
      </c>
      <c r="B15" s="25" t="s">
        <v>24</v>
      </c>
      <c r="C15" s="11" t="s">
        <v>25</v>
      </c>
      <c r="D15" s="28" t="s">
        <v>26</v>
      </c>
      <c r="E15" s="12"/>
      <c r="F15" s="66">
        <v>1</v>
      </c>
      <c r="G15" s="6">
        <f>1320000+145200</f>
        <v>1465200</v>
      </c>
      <c r="H15" s="7">
        <f aca="true" t="shared" si="0" ref="H15:H20">G15*10%</f>
        <v>146520</v>
      </c>
      <c r="I15" s="7">
        <f aca="true" t="shared" si="1" ref="I15:I20">H15*19%</f>
        <v>27838.8</v>
      </c>
      <c r="J15" s="29">
        <f aca="true" t="shared" si="2" ref="J15:J20">G15+H15+I15</f>
        <v>1639558.8</v>
      </c>
      <c r="K15" s="27" t="s">
        <v>27</v>
      </c>
    </row>
    <row r="16" spans="1:11" ht="82.5" customHeight="1" thickBot="1">
      <c r="A16" s="73">
        <v>6</v>
      </c>
      <c r="B16" s="9" t="s">
        <v>28</v>
      </c>
      <c r="C16" s="10" t="s">
        <v>29</v>
      </c>
      <c r="D16" s="28" t="s">
        <v>30</v>
      </c>
      <c r="E16" s="24">
        <v>296</v>
      </c>
      <c r="F16" s="66">
        <v>1</v>
      </c>
      <c r="G16" s="6">
        <f>1320000+145200</f>
        <v>1465200</v>
      </c>
      <c r="H16" s="7">
        <f t="shared" si="0"/>
        <v>146520</v>
      </c>
      <c r="I16" s="7">
        <f t="shared" si="1"/>
        <v>27838.8</v>
      </c>
      <c r="J16" s="29">
        <f t="shared" si="2"/>
        <v>1639558.8</v>
      </c>
      <c r="K16" s="13" t="s">
        <v>29</v>
      </c>
    </row>
    <row r="17" spans="1:11" ht="90" customHeight="1" thickBot="1">
      <c r="A17" s="73">
        <v>7</v>
      </c>
      <c r="B17" s="25" t="s">
        <v>24</v>
      </c>
      <c r="C17" s="10" t="s">
        <v>31</v>
      </c>
      <c r="D17" s="31" t="s">
        <v>32</v>
      </c>
      <c r="E17" s="12" t="s">
        <v>33</v>
      </c>
      <c r="F17" s="65">
        <v>1</v>
      </c>
      <c r="G17" s="6">
        <v>1465200</v>
      </c>
      <c r="H17" s="7">
        <f t="shared" si="0"/>
        <v>146520</v>
      </c>
      <c r="I17" s="7">
        <f t="shared" si="1"/>
        <v>27838.8</v>
      </c>
      <c r="J17" s="29">
        <f t="shared" si="2"/>
        <v>1639558.8</v>
      </c>
      <c r="K17" s="13" t="s">
        <v>34</v>
      </c>
    </row>
    <row r="18" spans="1:11" ht="96" customHeight="1" thickBot="1">
      <c r="A18" s="73">
        <v>8</v>
      </c>
      <c r="B18" s="25" t="s">
        <v>35</v>
      </c>
      <c r="C18" s="10" t="s">
        <v>36</v>
      </c>
      <c r="D18" s="31" t="s">
        <v>37</v>
      </c>
      <c r="E18" s="12" t="s">
        <v>38</v>
      </c>
      <c r="F18" s="79">
        <v>1</v>
      </c>
      <c r="G18" s="6">
        <v>1465200</v>
      </c>
      <c r="H18" s="7">
        <f t="shared" si="0"/>
        <v>146520</v>
      </c>
      <c r="I18" s="7">
        <f t="shared" si="1"/>
        <v>27838.8</v>
      </c>
      <c r="J18" s="29">
        <f t="shared" si="2"/>
        <v>1639558.8</v>
      </c>
      <c r="K18" s="13" t="s">
        <v>36</v>
      </c>
    </row>
    <row r="19" spans="1:11" ht="93" customHeight="1" thickBot="1">
      <c r="A19" s="73">
        <v>9</v>
      </c>
      <c r="B19" s="25" t="s">
        <v>35</v>
      </c>
      <c r="C19" s="10" t="s">
        <v>39</v>
      </c>
      <c r="D19" s="31" t="s">
        <v>40</v>
      </c>
      <c r="E19" s="12">
        <v>253</v>
      </c>
      <c r="F19" s="65">
        <v>1</v>
      </c>
      <c r="G19" s="6">
        <v>1465200</v>
      </c>
      <c r="H19" s="7">
        <f t="shared" si="0"/>
        <v>146520</v>
      </c>
      <c r="I19" s="7">
        <f t="shared" si="1"/>
        <v>27838.8</v>
      </c>
      <c r="J19" s="29">
        <f t="shared" si="2"/>
        <v>1639558.8</v>
      </c>
      <c r="K19" s="13" t="s">
        <v>39</v>
      </c>
    </row>
    <row r="20" spans="1:11" ht="98.25" customHeight="1">
      <c r="A20" s="73">
        <v>10</v>
      </c>
      <c r="B20" s="25" t="s">
        <v>24</v>
      </c>
      <c r="C20" s="10" t="s">
        <v>41</v>
      </c>
      <c r="D20" s="31" t="s">
        <v>42</v>
      </c>
      <c r="E20" s="12" t="s">
        <v>43</v>
      </c>
      <c r="F20" s="79">
        <v>1</v>
      </c>
      <c r="G20" s="6">
        <v>1465200</v>
      </c>
      <c r="H20" s="7">
        <f t="shared" si="0"/>
        <v>146520</v>
      </c>
      <c r="I20" s="7">
        <f t="shared" si="1"/>
        <v>27838.8</v>
      </c>
      <c r="J20" s="29">
        <f t="shared" si="2"/>
        <v>1639558.8</v>
      </c>
      <c r="K20" s="13" t="s">
        <v>44</v>
      </c>
    </row>
    <row r="21" spans="1:11" ht="12">
      <c r="A21" s="73"/>
      <c r="B21" s="14" t="s">
        <v>17</v>
      </c>
      <c r="C21" s="15"/>
      <c r="D21" s="15"/>
      <c r="E21" s="15"/>
      <c r="F21" s="77">
        <f>SUM(F15:F20)</f>
        <v>6</v>
      </c>
      <c r="G21" s="32">
        <f>SUM(G15:G20)</f>
        <v>8791200</v>
      </c>
      <c r="H21" s="32">
        <f>SUM(H15:H20)</f>
        <v>879120</v>
      </c>
      <c r="I21" s="32">
        <f>SUM(I15:I20)</f>
        <v>167032.8</v>
      </c>
      <c r="J21" s="86">
        <f>SUM(J15:J20)</f>
        <v>9837352.8</v>
      </c>
      <c r="K21" s="18"/>
    </row>
    <row r="22" spans="1:11" ht="12.75" thickBot="1">
      <c r="A22" s="73"/>
      <c r="B22" s="19" t="s">
        <v>18</v>
      </c>
      <c r="C22" s="20"/>
      <c r="D22" s="20"/>
      <c r="E22" s="20"/>
      <c r="F22" s="78"/>
      <c r="G22" s="21">
        <f>G21*1</f>
        <v>8791200</v>
      </c>
      <c r="H22" s="21">
        <f>H21*1</f>
        <v>879120</v>
      </c>
      <c r="I22" s="21">
        <f>I21*1</f>
        <v>167032.8</v>
      </c>
      <c r="J22" s="22">
        <f>J21*1</f>
        <v>9837352.8</v>
      </c>
      <c r="K22" s="23"/>
    </row>
    <row r="23" spans="1:11" ht="12.75" thickBot="1">
      <c r="A23" s="73"/>
      <c r="B23" s="144" t="s">
        <v>45</v>
      </c>
      <c r="C23" s="144"/>
      <c r="D23" s="144"/>
      <c r="E23" s="144"/>
      <c r="F23" s="144"/>
      <c r="G23" s="144"/>
      <c r="H23" s="144"/>
      <c r="I23" s="144"/>
      <c r="J23" s="144"/>
      <c r="K23" s="145"/>
    </row>
    <row r="24" spans="1:11" ht="79.5" customHeight="1" thickBot="1">
      <c r="A24" s="73">
        <v>11</v>
      </c>
      <c r="B24" s="4" t="s">
        <v>83</v>
      </c>
      <c r="C24" s="33" t="s">
        <v>47</v>
      </c>
      <c r="D24" s="33" t="s">
        <v>11</v>
      </c>
      <c r="E24" s="5" t="s">
        <v>48</v>
      </c>
      <c r="F24" s="58">
        <v>1</v>
      </c>
      <c r="G24" s="6">
        <v>1243924</v>
      </c>
      <c r="H24" s="34">
        <f>G24*10%</f>
        <v>124392.40000000001</v>
      </c>
      <c r="I24" s="34">
        <f>H24*19%</f>
        <v>23634.556</v>
      </c>
      <c r="J24" s="35">
        <f>H24+I24+G24</f>
        <v>1391950.956</v>
      </c>
      <c r="K24" s="30" t="s">
        <v>12</v>
      </c>
    </row>
    <row r="25" spans="1:11" ht="83.25" customHeight="1" thickBot="1">
      <c r="A25" s="73">
        <v>12</v>
      </c>
      <c r="B25" s="25" t="s">
        <v>46</v>
      </c>
      <c r="C25" s="36" t="s">
        <v>49</v>
      </c>
      <c r="D25" s="36" t="s">
        <v>50</v>
      </c>
      <c r="E25" s="24"/>
      <c r="F25" s="65">
        <v>2</v>
      </c>
      <c r="G25" s="26">
        <f>2487846*2</f>
        <v>4975692</v>
      </c>
      <c r="H25" s="34">
        <f>G25*10%</f>
        <v>497569.2</v>
      </c>
      <c r="I25" s="34">
        <f>H25*19%</f>
        <v>94538.148</v>
      </c>
      <c r="J25" s="35">
        <f>H25+I25+G25</f>
        <v>5567799.348</v>
      </c>
      <c r="K25" s="37" t="s">
        <v>95</v>
      </c>
    </row>
    <row r="26" spans="1:11" ht="91.5" customHeight="1">
      <c r="A26" s="73">
        <v>13</v>
      </c>
      <c r="B26" s="38" t="s">
        <v>51</v>
      </c>
      <c r="C26" s="39" t="s">
        <v>52</v>
      </c>
      <c r="D26" s="39" t="s">
        <v>11</v>
      </c>
      <c r="E26" s="40" t="s">
        <v>53</v>
      </c>
      <c r="F26" s="80">
        <v>6</v>
      </c>
      <c r="G26" s="6">
        <f>2465433*F26</f>
        <v>14792598</v>
      </c>
      <c r="H26" s="34">
        <f>G26*10%</f>
        <v>1479259.8</v>
      </c>
      <c r="I26" s="34">
        <f>H26*19%</f>
        <v>281059.362</v>
      </c>
      <c r="J26" s="35">
        <f>H26+I26+G26</f>
        <v>16552917.162</v>
      </c>
      <c r="K26" s="37" t="s">
        <v>54</v>
      </c>
    </row>
    <row r="27" spans="1:11" ht="12">
      <c r="A27" s="73"/>
      <c r="B27" s="14" t="s">
        <v>17</v>
      </c>
      <c r="C27" s="15"/>
      <c r="D27" s="15"/>
      <c r="E27" s="15"/>
      <c r="F27" s="77">
        <f>SUM(F24:F26)</f>
        <v>9</v>
      </c>
      <c r="G27" s="16">
        <f>SUM(G24:G26)</f>
        <v>21012214</v>
      </c>
      <c r="H27" s="16">
        <f>SUM(H24:H26)</f>
        <v>2101221.4</v>
      </c>
      <c r="I27" s="16">
        <f>SUM(I24:I26)</f>
        <v>399232.066</v>
      </c>
      <c r="J27" s="85">
        <f>SUM(J24:J26)</f>
        <v>23512667.466000002</v>
      </c>
      <c r="K27" s="18"/>
    </row>
    <row r="28" spans="1:11" ht="12.75" thickBot="1">
      <c r="A28" s="73"/>
      <c r="B28" s="19" t="s">
        <v>18</v>
      </c>
      <c r="C28" s="20"/>
      <c r="D28" s="20"/>
      <c r="E28" s="20"/>
      <c r="F28" s="78"/>
      <c r="G28" s="21">
        <f>G27*1</f>
        <v>21012214</v>
      </c>
      <c r="H28" s="21">
        <f>H27*1</f>
        <v>2101221.4</v>
      </c>
      <c r="I28" s="21">
        <f>I27*1</f>
        <v>399232.066</v>
      </c>
      <c r="J28" s="22">
        <f>J27*1</f>
        <v>23512667.466000002</v>
      </c>
      <c r="K28" s="23"/>
    </row>
    <row r="29" spans="1:11" ht="12.75" thickBot="1">
      <c r="A29" s="73"/>
      <c r="B29" s="142" t="s">
        <v>55</v>
      </c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104.25" customHeight="1">
      <c r="A30" s="74">
        <v>14</v>
      </c>
      <c r="B30" s="31" t="s">
        <v>84</v>
      </c>
      <c r="C30" s="31" t="s">
        <v>56</v>
      </c>
      <c r="D30" s="44" t="s">
        <v>11</v>
      </c>
      <c r="E30" s="12">
        <v>328</v>
      </c>
      <c r="F30" s="65">
        <v>1</v>
      </c>
      <c r="G30" s="45">
        <v>2465433</v>
      </c>
      <c r="H30" s="52">
        <f>G30*10%</f>
        <v>246543.30000000002</v>
      </c>
      <c r="I30" s="52">
        <f>H30*19%</f>
        <v>46843.227000000006</v>
      </c>
      <c r="J30" s="52">
        <f>H30+G30+I30</f>
        <v>2758819.527</v>
      </c>
      <c r="K30" s="13" t="s">
        <v>94</v>
      </c>
    </row>
    <row r="31" spans="1:11" ht="12">
      <c r="A31" s="75"/>
      <c r="B31" s="41" t="s">
        <v>22</v>
      </c>
      <c r="C31" s="42"/>
      <c r="D31" s="42"/>
      <c r="E31" s="42"/>
      <c r="F31" s="81">
        <f>SUM(F30:F30)</f>
        <v>1</v>
      </c>
      <c r="G31" s="51">
        <f>SUM(G30:G30)</f>
        <v>2465433</v>
      </c>
      <c r="H31" s="51">
        <f>SUM(H30:H30)</f>
        <v>246543.30000000002</v>
      </c>
      <c r="I31" s="51">
        <f>SUM(I30:I30)</f>
        <v>46843.227000000006</v>
      </c>
      <c r="J31" s="87">
        <f>SUM(J30)</f>
        <v>2758819.527</v>
      </c>
      <c r="K31" s="43"/>
    </row>
    <row r="32" spans="1:11" ht="12.75" thickBot="1">
      <c r="A32" s="73"/>
      <c r="B32" s="14" t="s">
        <v>57</v>
      </c>
      <c r="C32" s="2"/>
      <c r="D32" s="2"/>
      <c r="E32" s="2"/>
      <c r="F32" s="55"/>
      <c r="G32" s="16">
        <f>G31*1</f>
        <v>2465433</v>
      </c>
      <c r="H32" s="16">
        <f>H31*1</f>
        <v>246543.30000000002</v>
      </c>
      <c r="I32" s="16">
        <f>I31*1</f>
        <v>46843.227000000006</v>
      </c>
      <c r="J32" s="16">
        <f>J31*1</f>
        <v>2758819.527</v>
      </c>
      <c r="K32" s="18"/>
    </row>
    <row r="33" spans="1:11" ht="12.75" thickBot="1">
      <c r="A33" s="73"/>
      <c r="B33" s="135" t="s">
        <v>58</v>
      </c>
      <c r="C33" s="135"/>
      <c r="D33" s="135"/>
      <c r="E33" s="135"/>
      <c r="F33" s="135"/>
      <c r="G33" s="136"/>
      <c r="H33" s="136"/>
      <c r="I33" s="136"/>
      <c r="J33" s="136"/>
      <c r="K33" s="137"/>
    </row>
    <row r="34" spans="1:11" ht="24.75" thickBot="1">
      <c r="A34" s="73"/>
      <c r="B34" s="3" t="s">
        <v>2</v>
      </c>
      <c r="C34" s="3" t="s">
        <v>59</v>
      </c>
      <c r="D34" s="3"/>
      <c r="E34" s="3" t="s">
        <v>60</v>
      </c>
      <c r="F34" s="82"/>
      <c r="G34" s="3" t="s">
        <v>6</v>
      </c>
      <c r="H34" s="3" t="s">
        <v>7</v>
      </c>
      <c r="I34" s="3" t="s">
        <v>8</v>
      </c>
      <c r="J34" s="3"/>
      <c r="K34" s="3" t="s">
        <v>9</v>
      </c>
    </row>
    <row r="35" spans="1:11" ht="81" customHeight="1" thickBot="1">
      <c r="A35" s="70">
        <v>15</v>
      </c>
      <c r="B35" s="56" t="s">
        <v>61</v>
      </c>
      <c r="C35" s="57" t="s">
        <v>62</v>
      </c>
      <c r="D35" s="76" t="s">
        <v>11</v>
      </c>
      <c r="E35" s="65" t="s">
        <v>63</v>
      </c>
      <c r="F35" s="66">
        <v>5</v>
      </c>
      <c r="G35" s="59">
        <f>2465433*F35</f>
        <v>12327165</v>
      </c>
      <c r="H35" s="60">
        <f>G35*10%</f>
        <v>1232716.5</v>
      </c>
      <c r="I35" s="60">
        <f>H35*19%</f>
        <v>234216.135</v>
      </c>
      <c r="J35" s="61">
        <f>G35+H35+I35</f>
        <v>13794097.635</v>
      </c>
      <c r="K35" s="71" t="s">
        <v>64</v>
      </c>
    </row>
    <row r="36" spans="1:11" ht="81" customHeight="1" thickBot="1">
      <c r="A36" s="73">
        <v>16</v>
      </c>
      <c r="B36" s="9" t="s">
        <v>65</v>
      </c>
      <c r="C36" s="10" t="s">
        <v>66</v>
      </c>
      <c r="D36" s="44" t="s">
        <v>11</v>
      </c>
      <c r="E36" s="12" t="s">
        <v>67</v>
      </c>
      <c r="F36" s="65">
        <v>3</v>
      </c>
      <c r="G36" s="45">
        <f>2465433*F36</f>
        <v>7396299</v>
      </c>
      <c r="H36" s="7">
        <f>G36*10%</f>
        <v>739629.9</v>
      </c>
      <c r="I36" s="7">
        <f>H36*19%</f>
        <v>140529.681</v>
      </c>
      <c r="J36" s="8">
        <f>G36+H36+I36</f>
        <v>8276458.581</v>
      </c>
      <c r="K36" s="13" t="s">
        <v>96</v>
      </c>
    </row>
    <row r="37" spans="1:11" ht="87" customHeight="1" thickBot="1">
      <c r="A37" s="73">
        <v>17</v>
      </c>
      <c r="B37" s="25" t="s">
        <v>85</v>
      </c>
      <c r="C37" s="10" t="s">
        <v>68</v>
      </c>
      <c r="D37" s="44" t="s">
        <v>11</v>
      </c>
      <c r="E37" s="12">
        <v>358</v>
      </c>
      <c r="F37" s="65">
        <v>1</v>
      </c>
      <c r="G37" s="6">
        <v>1465200</v>
      </c>
      <c r="H37" s="7">
        <f>G37*10%</f>
        <v>146520</v>
      </c>
      <c r="I37" s="7">
        <f>H37*19%</f>
        <v>27838.8</v>
      </c>
      <c r="J37" s="8">
        <f>G37+H37+I37</f>
        <v>1639558.8</v>
      </c>
      <c r="K37" s="13" t="s">
        <v>68</v>
      </c>
    </row>
    <row r="38" spans="1:12" ht="87" customHeight="1">
      <c r="A38" s="73">
        <v>18</v>
      </c>
      <c r="B38" s="25" t="s">
        <v>107</v>
      </c>
      <c r="C38" s="36" t="s">
        <v>99</v>
      </c>
      <c r="D38" s="36" t="s">
        <v>100</v>
      </c>
      <c r="E38" s="24"/>
      <c r="F38" s="65">
        <v>2</v>
      </c>
      <c r="G38" s="26">
        <v>4633137</v>
      </c>
      <c r="H38" s="34">
        <f>G38*10%</f>
        <v>463313.7</v>
      </c>
      <c r="I38" s="34">
        <f>H38*19%</f>
        <v>88029.603</v>
      </c>
      <c r="J38" s="35">
        <f>H38+I38+G38</f>
        <v>5184480.303</v>
      </c>
      <c r="K38" s="37" t="s">
        <v>87</v>
      </c>
      <c r="L38" s="1" t="s">
        <v>101</v>
      </c>
    </row>
    <row r="39" spans="1:11" ht="12">
      <c r="A39" s="73"/>
      <c r="B39" s="14" t="s">
        <v>17</v>
      </c>
      <c r="C39" s="15"/>
      <c r="D39" s="15"/>
      <c r="E39" s="15"/>
      <c r="F39" s="77">
        <f>SUM(F35:F37)</f>
        <v>9</v>
      </c>
      <c r="G39" s="16">
        <f>SUM(G35:G37)</f>
        <v>21188664</v>
      </c>
      <c r="H39" s="16">
        <f>SUM(H35:H37)</f>
        <v>2118866.4</v>
      </c>
      <c r="I39" s="16">
        <f>SUM(I35:I37)</f>
        <v>402584.616</v>
      </c>
      <c r="J39" s="85">
        <f>SUM(J35:J38)</f>
        <v>28894595.319</v>
      </c>
      <c r="K39" s="18"/>
    </row>
    <row r="40" spans="1:11" ht="12.75" thickBot="1">
      <c r="A40" s="73"/>
      <c r="B40" s="19" t="s">
        <v>18</v>
      </c>
      <c r="C40" s="20"/>
      <c r="D40" s="20"/>
      <c r="E40" s="20"/>
      <c r="F40" s="83">
        <f>F39+F31+F27+F21+F12+F8</f>
        <v>36</v>
      </c>
      <c r="G40" s="21">
        <f>G39*1</f>
        <v>21188664</v>
      </c>
      <c r="H40" s="21">
        <f>H39*1</f>
        <v>2118866.4</v>
      </c>
      <c r="I40" s="21">
        <f>I39*1</f>
        <v>402584.616</v>
      </c>
      <c r="J40" s="22">
        <f>J39*1</f>
        <v>28894595.319</v>
      </c>
      <c r="K40" s="23"/>
    </row>
    <row r="41" spans="1:11" ht="12">
      <c r="A41" s="73"/>
      <c r="B41" s="114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1:11" ht="12">
      <c r="A42" s="73"/>
      <c r="B42" s="14" t="s">
        <v>22</v>
      </c>
      <c r="C42" s="15"/>
      <c r="D42" s="15"/>
      <c r="E42" s="15"/>
      <c r="F42" s="77"/>
      <c r="G42" s="16"/>
      <c r="H42" s="16"/>
      <c r="I42" s="16"/>
      <c r="J42" s="17"/>
      <c r="K42" s="18"/>
    </row>
    <row r="43" spans="1:11" ht="12.75" thickBot="1">
      <c r="A43" s="88"/>
      <c r="B43" s="46" t="s">
        <v>18</v>
      </c>
      <c r="C43" s="47"/>
      <c r="D43" s="47"/>
      <c r="E43" s="47"/>
      <c r="F43" s="84"/>
      <c r="G43" s="48">
        <f>G42*12</f>
        <v>0</v>
      </c>
      <c r="H43" s="48">
        <f>H42*12</f>
        <v>0</v>
      </c>
      <c r="I43" s="48">
        <f>I42*12</f>
        <v>0</v>
      </c>
      <c r="J43" s="49"/>
      <c r="K43" s="50"/>
    </row>
    <row r="44" spans="1:11" ht="12">
      <c r="A44" s="89"/>
      <c r="B44" s="138" t="s">
        <v>69</v>
      </c>
      <c r="C44" s="139"/>
      <c r="D44" s="139"/>
      <c r="E44" s="139"/>
      <c r="F44" s="90"/>
      <c r="G44" s="91"/>
      <c r="H44" s="92"/>
      <c r="I44" s="92"/>
      <c r="J44" s="92">
        <f>+J8+J12+J21+J27+J31+J39</f>
        <v>95362992.2205</v>
      </c>
      <c r="K44" s="93"/>
    </row>
    <row r="45" spans="1:11" ht="12.75" thickBot="1">
      <c r="A45" s="127"/>
      <c r="B45" s="140" t="s">
        <v>102</v>
      </c>
      <c r="C45" s="141"/>
      <c r="D45" s="141"/>
      <c r="E45" s="141"/>
      <c r="F45" s="128"/>
      <c r="G45" s="129"/>
      <c r="H45" s="130"/>
      <c r="I45" s="130"/>
      <c r="J45" s="130">
        <f>+RESUMEN!G17</f>
        <v>941243496.357</v>
      </c>
      <c r="K45" s="131"/>
    </row>
    <row r="47" ht="12">
      <c r="J47" s="116"/>
    </row>
    <row r="49" ht="12">
      <c r="J49" s="116"/>
    </row>
    <row r="51" ht="12">
      <c r="J51" s="116"/>
    </row>
    <row r="52" ht="12">
      <c r="J52" s="117"/>
    </row>
    <row r="53" ht="12">
      <c r="J53" s="117"/>
    </row>
    <row r="55" ht="12">
      <c r="J55" s="117"/>
    </row>
    <row r="56" ht="12">
      <c r="J56" s="117"/>
    </row>
  </sheetData>
  <sheetProtection/>
  <mergeCells count="8">
    <mergeCell ref="A2:K2"/>
    <mergeCell ref="B33:K33"/>
    <mergeCell ref="B44:E44"/>
    <mergeCell ref="B45:E45"/>
    <mergeCell ref="B10:K10"/>
    <mergeCell ref="B14:K14"/>
    <mergeCell ref="B23:K23"/>
    <mergeCell ref="B29:K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3"/>
  <sheetViews>
    <sheetView zoomScalePageLayoutView="0" workbookViewId="0" topLeftCell="C1">
      <selection activeCell="G19" sqref="G19"/>
    </sheetView>
  </sheetViews>
  <sheetFormatPr defaultColWidth="11.421875" defaultRowHeight="15"/>
  <cols>
    <col min="3" max="3" width="19.7109375" style="0" customWidth="1"/>
    <col min="4" max="7" width="23.8515625" style="0" customWidth="1"/>
    <col min="8" max="8" width="37.7109375" style="0" customWidth="1"/>
  </cols>
  <sheetData>
    <row r="3" ht="15.75" thickBot="1"/>
    <row r="4" spans="2:8" ht="15.75" thickBot="1">
      <c r="B4" s="146" t="s">
        <v>72</v>
      </c>
      <c r="C4" s="147"/>
      <c r="D4" s="148"/>
      <c r="E4" s="149"/>
      <c r="F4" s="149"/>
      <c r="G4" s="149"/>
      <c r="H4" s="150"/>
    </row>
    <row r="5" spans="2:8" ht="15">
      <c r="B5" s="94" t="s">
        <v>71</v>
      </c>
      <c r="C5" s="95"/>
      <c r="D5" s="96" t="s">
        <v>97</v>
      </c>
      <c r="E5" s="97" t="s">
        <v>104</v>
      </c>
      <c r="F5" s="97" t="s">
        <v>105</v>
      </c>
      <c r="G5" s="97" t="s">
        <v>106</v>
      </c>
      <c r="H5" s="98" t="s">
        <v>0</v>
      </c>
    </row>
    <row r="6" spans="2:8" ht="15">
      <c r="B6" s="100">
        <v>1</v>
      </c>
      <c r="C6" s="151" t="s">
        <v>88</v>
      </c>
      <c r="D6" s="101">
        <f>+presupuesto!J5+presupuesto!J6</f>
        <v>9668410.0965</v>
      </c>
      <c r="E6" s="102">
        <f>+D6*10</f>
        <v>96684100.965</v>
      </c>
      <c r="F6" s="102">
        <f>+'[1]presupuesto'!$J$5</f>
        <v>4590764.64</v>
      </c>
      <c r="G6" s="102">
        <f>+F6+E6</f>
        <v>101274865.605</v>
      </c>
      <c r="H6" s="103" t="s">
        <v>73</v>
      </c>
    </row>
    <row r="7" spans="2:8" ht="15">
      <c r="B7" s="100">
        <v>2</v>
      </c>
      <c r="C7" s="152"/>
      <c r="D7" s="101">
        <f>+presupuesto!J7</f>
        <v>2758819.527</v>
      </c>
      <c r="E7" s="102">
        <f aca="true" t="shared" si="0" ref="E7:E15">+D7*10</f>
        <v>27588195.269999996</v>
      </c>
      <c r="F7" s="102">
        <f>+'[1]presupuesto'!$J$6</f>
        <v>1530254.88</v>
      </c>
      <c r="G7" s="102">
        <f aca="true" t="shared" si="1" ref="G7:G16">+F7+E7</f>
        <v>29118450.149999995</v>
      </c>
      <c r="H7" s="103" t="s">
        <v>74</v>
      </c>
    </row>
    <row r="8" spans="2:8" ht="15">
      <c r="B8" s="100">
        <v>3</v>
      </c>
      <c r="C8" s="105" t="s">
        <v>89</v>
      </c>
      <c r="D8" s="101">
        <f>+presupuesto!J12</f>
        <v>17932327.485</v>
      </c>
      <c r="E8" s="102">
        <f t="shared" si="0"/>
        <v>179323274.85</v>
      </c>
      <c r="F8" s="102">
        <f>+'[1]presupuesto'!$J$10</f>
        <v>9181529.28</v>
      </c>
      <c r="G8" s="102">
        <f t="shared" si="1"/>
        <v>188504804.13</v>
      </c>
      <c r="H8" s="103" t="s">
        <v>21</v>
      </c>
    </row>
    <row r="9" spans="2:8" ht="15">
      <c r="B9" s="53">
        <v>4</v>
      </c>
      <c r="C9" s="126" t="s">
        <v>90</v>
      </c>
      <c r="D9" s="120">
        <f>+presupuesto!J21</f>
        <v>9837352.8</v>
      </c>
      <c r="E9" s="121">
        <f>+D9*8</f>
        <v>78698822.4</v>
      </c>
      <c r="F9" s="121">
        <f>+'[1]presupuesto'!$J$20</f>
        <v>4590764.64</v>
      </c>
      <c r="G9" s="121">
        <f t="shared" si="1"/>
        <v>83289587.04</v>
      </c>
      <c r="H9" s="124" t="s">
        <v>75</v>
      </c>
    </row>
    <row r="10" spans="2:8" ht="15">
      <c r="B10" s="100">
        <v>5</v>
      </c>
      <c r="C10" s="105" t="s">
        <v>91</v>
      </c>
      <c r="D10" s="101">
        <f>+presupuesto!J24+presupuesto!J26</f>
        <v>17944868.118</v>
      </c>
      <c r="E10" s="102">
        <f t="shared" si="0"/>
        <v>179448681.18</v>
      </c>
      <c r="F10" s="102">
        <f>+'[1]presupuesto'!$J$24</f>
        <v>9181529.28</v>
      </c>
      <c r="G10" s="102">
        <f t="shared" si="1"/>
        <v>188630210.46</v>
      </c>
      <c r="H10" s="106" t="s">
        <v>86</v>
      </c>
    </row>
    <row r="11" spans="2:8" ht="15">
      <c r="B11" s="100">
        <v>6</v>
      </c>
      <c r="C11" s="105" t="s">
        <v>92</v>
      </c>
      <c r="D11" s="101">
        <f>+presupuesto!J25</f>
        <v>5567799.348</v>
      </c>
      <c r="E11" s="102">
        <f t="shared" si="0"/>
        <v>55677993.480000004</v>
      </c>
      <c r="F11" s="102">
        <f>+'[1]presupuesto'!$J$23</f>
        <v>3060509.76</v>
      </c>
      <c r="G11" s="102">
        <f t="shared" si="1"/>
        <v>58738503.24</v>
      </c>
      <c r="H11" s="103" t="s">
        <v>76</v>
      </c>
    </row>
    <row r="12" spans="2:8" ht="15.75" thickBot="1">
      <c r="B12" s="53">
        <v>7</v>
      </c>
      <c r="C12" s="119" t="s">
        <v>93</v>
      </c>
      <c r="D12" s="120">
        <f>+presupuesto!J31</f>
        <v>2758819.527</v>
      </c>
      <c r="E12" s="121">
        <f t="shared" si="0"/>
        <v>27588195.269999996</v>
      </c>
      <c r="F12" s="121">
        <f>+'[1]presupuesto'!$J$28</f>
        <v>1530254.88</v>
      </c>
      <c r="G12" s="121">
        <f t="shared" si="1"/>
        <v>29118450.149999995</v>
      </c>
      <c r="H12" s="124" t="s">
        <v>77</v>
      </c>
    </row>
    <row r="13" spans="2:8" ht="15">
      <c r="B13" s="110">
        <v>8</v>
      </c>
      <c r="C13" s="153" t="s">
        <v>87</v>
      </c>
      <c r="D13" s="112">
        <f>+presupuesto!J35</f>
        <v>13794097.635</v>
      </c>
      <c r="E13" s="102">
        <f t="shared" si="0"/>
        <v>137940976.35</v>
      </c>
      <c r="F13" s="102">
        <f>+'[1]presupuesto'!$J$33</f>
        <v>7651274.4</v>
      </c>
      <c r="G13" s="102">
        <f t="shared" si="1"/>
        <v>145592250.75</v>
      </c>
      <c r="H13" s="103" t="s">
        <v>64</v>
      </c>
    </row>
    <row r="14" spans="2:8" ht="15">
      <c r="B14" s="110">
        <v>9</v>
      </c>
      <c r="C14" s="154"/>
      <c r="D14" s="112">
        <f>+presupuesto!J36</f>
        <v>8276458.581</v>
      </c>
      <c r="E14" s="102">
        <f t="shared" si="0"/>
        <v>82764585.81</v>
      </c>
      <c r="F14" s="102">
        <f>+'[1]presupuesto'!$J$34</f>
        <v>4590764.64</v>
      </c>
      <c r="G14" s="102">
        <f t="shared" si="1"/>
        <v>87355350.45</v>
      </c>
      <c r="H14" s="103" t="s">
        <v>78</v>
      </c>
    </row>
    <row r="15" spans="2:8" ht="15.75" thickBot="1">
      <c r="B15" s="111">
        <v>10</v>
      </c>
      <c r="C15" s="154"/>
      <c r="D15" s="113">
        <f>+presupuesto!J37</f>
        <v>1639558.8</v>
      </c>
      <c r="E15" s="102">
        <f t="shared" si="0"/>
        <v>16395588</v>
      </c>
      <c r="F15" s="118"/>
      <c r="G15" s="102">
        <f t="shared" si="1"/>
        <v>16395588</v>
      </c>
      <c r="H15" s="104" t="s">
        <v>68</v>
      </c>
    </row>
    <row r="16" spans="2:9" ht="15.75" thickBot="1">
      <c r="B16" s="110">
        <v>11</v>
      </c>
      <c r="C16" s="155"/>
      <c r="D16" s="122">
        <f>+presupuesto!J38</f>
        <v>5184480.303</v>
      </c>
      <c r="E16" s="121">
        <f>+D16*2</f>
        <v>10368960.606</v>
      </c>
      <c r="F16" s="123">
        <f>+'[1]presupuesto'!$J$35</f>
        <v>2856475.776</v>
      </c>
      <c r="G16" s="121">
        <f t="shared" si="1"/>
        <v>13225436.382000001</v>
      </c>
      <c r="H16" s="125" t="s">
        <v>98</v>
      </c>
      <c r="I16" t="s">
        <v>103</v>
      </c>
    </row>
    <row r="17" spans="2:8" ht="15.75" thickBot="1">
      <c r="B17" s="107"/>
      <c r="C17" s="108"/>
      <c r="D17" s="109">
        <f>SUM(D6:D16)</f>
        <v>95362992.2205</v>
      </c>
      <c r="E17" s="109">
        <f>SUM(E6:E16)</f>
        <v>892479374.181</v>
      </c>
      <c r="F17" s="109">
        <f>SUM(F6:F16)</f>
        <v>48764122.176</v>
      </c>
      <c r="G17" s="109">
        <f>SUM(G6:G16)</f>
        <v>941243496.357</v>
      </c>
      <c r="H17" s="107" t="s">
        <v>79</v>
      </c>
    </row>
    <row r="19" spans="5:7" ht="15">
      <c r="E19" s="99"/>
      <c r="F19" s="99"/>
      <c r="G19" s="99"/>
    </row>
    <row r="20" spans="5:7" ht="15">
      <c r="E20" s="99"/>
      <c r="F20" s="99"/>
      <c r="G20" s="99"/>
    </row>
    <row r="22" spans="5:7" ht="15">
      <c r="E22" s="99"/>
      <c r="F22" s="99"/>
      <c r="G22" s="99"/>
    </row>
    <row r="23" ht="15">
      <c r="G23" s="99"/>
    </row>
  </sheetData>
  <sheetProtection/>
  <mergeCells count="3">
    <mergeCell ref="B4:H4"/>
    <mergeCell ref="C6:C7"/>
    <mergeCell ref="C13:C16"/>
  </mergeCells>
  <printOptions horizontalCentered="1"/>
  <pageMargins left="0.11811023622047245" right="1.6929133858267718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OFICINA ADMINISTRATIVA</dc:creator>
  <cp:keywords/>
  <dc:description/>
  <cp:lastModifiedBy>USER</cp:lastModifiedBy>
  <cp:lastPrinted>2023-04-25T16:42:23Z</cp:lastPrinted>
  <dcterms:created xsi:type="dcterms:W3CDTF">2015-10-14T22:29:00Z</dcterms:created>
  <dcterms:modified xsi:type="dcterms:W3CDTF">2024-02-02T14:27:55Z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08F36240127F4C07BEE5893FCE9D1BCA</vt:lpwstr>
  </property>
  <property fmtid="{D5CDD505-2E9C-101B-9397-08002B2CF9AE}" pid="3" name="KSOProductBuildVer">
    <vt:lpwstr>2058-11.2.0.10426</vt:lpwstr>
  </property>
</Properties>
</file>